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rmin\15_unzensiert\media\pages\corona\"/>
    </mc:Choice>
  </mc:AlternateContent>
  <bookViews>
    <workbookView xWindow="0" yWindow="0" windowWidth="19140" windowHeight="11400"/>
  </bookViews>
  <sheets>
    <sheet name="PCR-Test entzaubert" sheetId="1" r:id="rId1"/>
    <sheet name="RKI Wochendat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2" l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9" i="2"/>
  <c r="D34" i="2" l="1"/>
  <c r="E34" i="2"/>
  <c r="F34" i="2" s="1"/>
  <c r="G34" i="2"/>
  <c r="I34" i="2" s="1"/>
  <c r="J34" i="2" s="1"/>
  <c r="D33" i="2"/>
  <c r="E33" i="2"/>
  <c r="F33" i="2"/>
  <c r="H33" i="2" s="1"/>
  <c r="G33" i="2"/>
  <c r="I33" i="2" s="1"/>
  <c r="J33" i="2" s="1"/>
  <c r="D32" i="2"/>
  <c r="E32" i="2"/>
  <c r="F32" i="2" s="1"/>
  <c r="G32" i="2"/>
  <c r="I32" i="2" s="1"/>
  <c r="J32" i="2" s="1"/>
  <c r="K33" i="2" l="1"/>
  <c r="H34" i="2"/>
  <c r="K34" i="2"/>
  <c r="H32" i="2"/>
  <c r="K32" i="2"/>
  <c r="B11" i="1"/>
  <c r="B10" i="1"/>
  <c r="D31" i="2"/>
  <c r="E31" i="2"/>
  <c r="F31" i="2" s="1"/>
  <c r="G31" i="2"/>
  <c r="I31" i="2" s="1"/>
  <c r="J31" i="2" s="1"/>
  <c r="G10" i="2"/>
  <c r="I10" i="2" s="1"/>
  <c r="J10" i="2" s="1"/>
  <c r="G11" i="2"/>
  <c r="I11" i="2" s="1"/>
  <c r="J11" i="2" s="1"/>
  <c r="G12" i="2"/>
  <c r="I12" i="2" s="1"/>
  <c r="J12" i="2" s="1"/>
  <c r="G13" i="2"/>
  <c r="I13" i="2" s="1"/>
  <c r="J13" i="2" s="1"/>
  <c r="G14" i="2"/>
  <c r="I14" i="2" s="1"/>
  <c r="J14" i="2" s="1"/>
  <c r="G15" i="2"/>
  <c r="I15" i="2" s="1"/>
  <c r="J15" i="2" s="1"/>
  <c r="G16" i="2"/>
  <c r="I16" i="2" s="1"/>
  <c r="J16" i="2" s="1"/>
  <c r="G17" i="2"/>
  <c r="I17" i="2" s="1"/>
  <c r="J17" i="2" s="1"/>
  <c r="G18" i="2"/>
  <c r="I18" i="2" s="1"/>
  <c r="J18" i="2" s="1"/>
  <c r="G19" i="2"/>
  <c r="I19" i="2" s="1"/>
  <c r="J19" i="2" s="1"/>
  <c r="G20" i="2"/>
  <c r="I20" i="2" s="1"/>
  <c r="J20" i="2" s="1"/>
  <c r="G21" i="2"/>
  <c r="I21" i="2" s="1"/>
  <c r="J21" i="2" s="1"/>
  <c r="G22" i="2"/>
  <c r="I22" i="2" s="1"/>
  <c r="J22" i="2" s="1"/>
  <c r="G23" i="2"/>
  <c r="I23" i="2" s="1"/>
  <c r="J23" i="2" s="1"/>
  <c r="G24" i="2"/>
  <c r="I24" i="2" s="1"/>
  <c r="J24" i="2" s="1"/>
  <c r="G25" i="2"/>
  <c r="I25" i="2" s="1"/>
  <c r="J25" i="2" s="1"/>
  <c r="G26" i="2"/>
  <c r="I26" i="2" s="1"/>
  <c r="J26" i="2" s="1"/>
  <c r="G27" i="2"/>
  <c r="I27" i="2" s="1"/>
  <c r="J27" i="2" s="1"/>
  <c r="G28" i="2"/>
  <c r="I28" i="2" s="1"/>
  <c r="J28" i="2" s="1"/>
  <c r="G29" i="2"/>
  <c r="I29" i="2" s="1"/>
  <c r="J29" i="2" s="1"/>
  <c r="G30" i="2"/>
  <c r="I30" i="2" s="1"/>
  <c r="J30" i="2" s="1"/>
  <c r="G9" i="2"/>
  <c r="I9" i="2" s="1"/>
  <c r="J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4" i="2"/>
  <c r="H24" i="2" s="1"/>
  <c r="F30" i="2"/>
  <c r="H30" i="2" s="1"/>
  <c r="F9" i="2"/>
  <c r="H9" i="2" s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F23" i="2" s="1"/>
  <c r="E24" i="2"/>
  <c r="E25" i="2"/>
  <c r="F25" i="2" s="1"/>
  <c r="E26" i="2"/>
  <c r="F26" i="2" s="1"/>
  <c r="H26" i="2" s="1"/>
  <c r="E27" i="2"/>
  <c r="F27" i="2" s="1"/>
  <c r="H27" i="2" s="1"/>
  <c r="E28" i="2"/>
  <c r="F28" i="2" s="1"/>
  <c r="E29" i="2"/>
  <c r="F29" i="2" s="1"/>
  <c r="E30" i="2"/>
  <c r="E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9" i="2"/>
  <c r="H10" i="1"/>
  <c r="H8" i="1" s="1"/>
  <c r="C7" i="1"/>
  <c r="C6" i="1"/>
  <c r="G10" i="1" s="1"/>
  <c r="B15" i="1" s="1"/>
  <c r="H29" i="2" l="1"/>
  <c r="L30" i="2"/>
  <c r="M30" i="2" s="1"/>
  <c r="L33" i="2"/>
  <c r="M33" i="2" s="1"/>
  <c r="L31" i="2"/>
  <c r="M31" i="2" s="1"/>
  <c r="L29" i="2"/>
  <c r="M29" i="2" s="1"/>
  <c r="L34" i="2"/>
  <c r="M34" i="2" s="1"/>
  <c r="L32" i="2"/>
  <c r="M32" i="2" s="1"/>
  <c r="K11" i="2"/>
  <c r="K10" i="2"/>
  <c r="K12" i="2"/>
  <c r="K9" i="2"/>
  <c r="K22" i="2"/>
  <c r="K21" i="2"/>
  <c r="K19" i="2"/>
  <c r="K18" i="2"/>
  <c r="K20" i="2"/>
  <c r="K17" i="2"/>
  <c r="K16" i="2"/>
  <c r="K15" i="2"/>
  <c r="K14" i="2"/>
  <c r="K13" i="2"/>
  <c r="K31" i="2"/>
  <c r="H31" i="2"/>
  <c r="H25" i="2"/>
  <c r="K25" i="2"/>
  <c r="K24" i="2"/>
  <c r="H23" i="2"/>
  <c r="K23" i="2"/>
  <c r="K26" i="2"/>
  <c r="K30" i="2"/>
  <c r="K29" i="2"/>
  <c r="H28" i="2"/>
  <c r="K28" i="2"/>
  <c r="K27" i="2"/>
  <c r="G8" i="1"/>
  <c r="B16" i="1" s="1"/>
  <c r="G6" i="1"/>
  <c r="I11" i="1" s="1"/>
  <c r="B14" i="1" s="1"/>
  <c r="I10" i="1"/>
  <c r="H6" i="1"/>
  <c r="I8" i="1" l="1"/>
  <c r="I6" i="1"/>
</calcChain>
</file>

<file path=xl/sharedStrings.xml><?xml version="1.0" encoding="utf-8"?>
<sst xmlns="http://schemas.openxmlformats.org/spreadsheetml/2006/main" count="73" uniqueCount="73">
  <si>
    <t>RKI Daten</t>
  </si>
  <si>
    <t>ja</t>
  </si>
  <si>
    <t>nein</t>
  </si>
  <si>
    <t>PCR-Test</t>
  </si>
  <si>
    <t>positiv</t>
  </si>
  <si>
    <t>richtig positive</t>
  </si>
  <si>
    <t>falsch positive</t>
  </si>
  <si>
    <t>"positiv" getestet</t>
  </si>
  <si>
    <t>Positivenrate [%]</t>
  </si>
  <si>
    <t>negativ</t>
  </si>
  <si>
    <t>falsch negative</t>
  </si>
  <si>
    <t>richtig negative</t>
  </si>
  <si>
    <t>"negativ" getestet</t>
  </si>
  <si>
    <t>wirklich infiziert</t>
  </si>
  <si>
    <t>wirklich nicht infiziert</t>
  </si>
  <si>
    <t>Gesamtzahl Tests</t>
  </si>
  <si>
    <t>Ergebnis:</t>
  </si>
  <si>
    <t>Infiziert mit SARS-CoV-2</t>
  </si>
  <si>
    <t>Diese Felder ausfüllen</t>
  </si>
  <si>
    <t>Sensitivität:</t>
  </si>
  <si>
    <t>Spezifität:</t>
  </si>
  <si>
    <t>Negativ getestet</t>
  </si>
  <si>
    <t>wirklich nicht infizierte</t>
  </si>
  <si>
    <t>richtig Positive</t>
  </si>
  <si>
    <t>Bevölkerung:</t>
  </si>
  <si>
    <t>KW10</t>
  </si>
  <si>
    <t>KW11</t>
  </si>
  <si>
    <t>KW12</t>
  </si>
  <si>
    <t>KW13</t>
  </si>
  <si>
    <t>KW14</t>
  </si>
  <si>
    <t>KW15</t>
  </si>
  <si>
    <t>KW16</t>
  </si>
  <si>
    <t>KW17</t>
  </si>
  <si>
    <t>KW18</t>
  </si>
  <si>
    <t>KW19</t>
  </si>
  <si>
    <t>KW20</t>
  </si>
  <si>
    <t>KW21</t>
  </si>
  <si>
    <t>KW22</t>
  </si>
  <si>
    <t>KW23</t>
  </si>
  <si>
    <t>KW24</t>
  </si>
  <si>
    <t>KW25</t>
  </si>
  <si>
    <t>KW26</t>
  </si>
  <si>
    <t>KW27</t>
  </si>
  <si>
    <t>KW28</t>
  </si>
  <si>
    <t>KW29</t>
  </si>
  <si>
    <t>KW30</t>
  </si>
  <si>
    <t>KW31</t>
  </si>
  <si>
    <t>KW32</t>
  </si>
  <si>
    <t>Excel-Rechner: Armin Vogt</t>
  </si>
  <si>
    <t>Daten des RKI:</t>
  </si>
  <si>
    <t>Annahmen:</t>
  </si>
  <si>
    <t>% der Fp an den Positiven</t>
  </si>
  <si>
    <t>davon als "negativ" getestet:</t>
  </si>
  <si>
    <t>davon als "positiv" getestet:</t>
  </si>
  <si>
    <t>Gesamtzahl der Tests pro Woche:</t>
  </si>
  <si>
    <t>Positivenrate [%]:</t>
  </si>
  <si>
    <t>Positiver Vorhersagewert:</t>
  </si>
  <si>
    <t>KW33</t>
  </si>
  <si>
    <t>KW34</t>
  </si>
  <si>
    <t>KW35</t>
  </si>
  <si>
    <t>KW36</t>
  </si>
  <si>
    <t>KW37</t>
  </si>
  <si>
    <t>KW38</t>
  </si>
  <si>
    <t>https://www.rki.de/DE/Content/Infekt/EpidBull/Archiv/2020/Ausgaben/36_20.pdf</t>
  </si>
  <si>
    <t>Daten des RKI aus dem "Epdemiologischen Bulletein 36 2020 vom 03.09.2020</t>
  </si>
  <si>
    <t>% wirklich Infizierte an Gesamtbevölkerung</t>
  </si>
  <si>
    <t>%</t>
  </si>
  <si>
    <t>% aufsummierte wirklich Infizierte an Gesamtbevölkerung</t>
  </si>
  <si>
    <t>wirklich Infizierte
(rechte y-Achse)</t>
  </si>
  <si>
    <t>Positiv getestet
(rechte y-Achse)</t>
  </si>
  <si>
    <t>Anzahl Testungen
(linke y-Achse)</t>
  </si>
  <si>
    <t>falsch Positive
(rechte y-Achse)</t>
  </si>
  <si>
    <t>Summe 'wirklich Infizierte'
(linke y-Achse)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</si>
</sst>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Wingdings"/>
      <charset val="2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BFFD1"/>
        <bgColor indexed="64"/>
      </patternFill>
    </fill>
  </fills>
  <borders count="2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3" fillId="2" borderId="1" xfId="0" applyFont="1" applyFill="1" applyBorder="1"/>
    <xf numFmtId="0" fontId="0" fillId="2" borderId="2" xfId="0" applyFill="1" applyBorder="1"/>
    <xf numFmtId="0" fontId="4" fillId="2" borderId="6" xfId="0" applyFont="1" applyFill="1" applyBorder="1" applyAlignment="1">
      <alignment horizontal="right" wrapText="1"/>
    </xf>
    <xf numFmtId="0" fontId="0" fillId="2" borderId="0" xfId="0" applyFill="1" applyBorder="1"/>
    <xf numFmtId="0" fontId="4" fillId="2" borderId="6" xfId="0" applyFont="1" applyFill="1" applyBorder="1" applyAlignment="1">
      <alignment horizontal="right"/>
    </xf>
    <xf numFmtId="3" fontId="3" fillId="2" borderId="7" xfId="0" applyNumberFormat="1" applyFont="1" applyFill="1" applyBorder="1"/>
    <xf numFmtId="2" fontId="3" fillId="2" borderId="7" xfId="0" applyNumberFormat="1" applyFont="1" applyFill="1" applyBorder="1"/>
    <xf numFmtId="0" fontId="3" fillId="2" borderId="16" xfId="0" applyFont="1" applyFill="1" applyBorder="1"/>
    <xf numFmtId="0" fontId="3" fillId="2" borderId="0" xfId="0" applyFont="1" applyFill="1" applyBorder="1"/>
    <xf numFmtId="0" fontId="4" fillId="2" borderId="18" xfId="0" applyFont="1" applyFill="1" applyBorder="1" applyAlignment="1">
      <alignment horizontal="right"/>
    </xf>
    <xf numFmtId="0" fontId="0" fillId="2" borderId="20" xfId="0" applyFill="1" applyBorder="1"/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3" fontId="3" fillId="7" borderId="14" xfId="0" applyNumberFormat="1" applyFont="1" applyFill="1" applyBorder="1" applyAlignment="1">
      <alignment horizontal="center" vertical="center"/>
    </xf>
    <xf numFmtId="3" fontId="3" fillId="7" borderId="15" xfId="0" applyNumberFormat="1" applyFont="1" applyFill="1" applyBorder="1" applyAlignment="1">
      <alignment horizontal="center" vertical="center"/>
    </xf>
    <xf numFmtId="3" fontId="1" fillId="8" borderId="11" xfId="0" applyNumberFormat="1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3" fontId="5" fillId="8" borderId="13" xfId="0" applyNumberFormat="1" applyFont="1" applyFill="1" applyBorder="1" applyAlignment="1">
      <alignment horizontal="center" vertical="center"/>
    </xf>
    <xf numFmtId="3" fontId="5" fillId="9" borderId="13" xfId="0" applyNumberFormat="1" applyFont="1" applyFill="1" applyBorder="1" applyAlignment="1">
      <alignment horizontal="center" vertical="center"/>
    </xf>
    <xf numFmtId="3" fontId="3" fillId="10" borderId="17" xfId="0" applyNumberFormat="1" applyFont="1" applyFill="1" applyBorder="1" applyAlignment="1">
      <alignment horizontal="center" vertical="center"/>
    </xf>
    <xf numFmtId="3" fontId="3" fillId="11" borderId="7" xfId="0" applyNumberFormat="1" applyFont="1" applyFill="1" applyBorder="1"/>
    <xf numFmtId="0" fontId="0" fillId="4" borderId="0" xfId="0" applyFill="1"/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3" fontId="0" fillId="11" borderId="0" xfId="0" applyNumberFormat="1" applyFill="1" applyAlignment="1">
      <alignment horizontal="left" vertical="center"/>
    </xf>
    <xf numFmtId="0" fontId="3" fillId="4" borderId="0" xfId="0" applyFont="1" applyFill="1"/>
    <xf numFmtId="0" fontId="7" fillId="0" borderId="0" xfId="0" applyFont="1"/>
    <xf numFmtId="0" fontId="6" fillId="2" borderId="16" xfId="0" applyFont="1" applyFill="1" applyBorder="1" applyAlignment="1">
      <alignment horizontal="left" vertical="top"/>
    </xf>
    <xf numFmtId="0" fontId="8" fillId="11" borderId="2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9" fillId="4" borderId="0" xfId="0" applyNumberFormat="1" applyFont="1" applyFill="1"/>
    <xf numFmtId="0" fontId="9" fillId="4" borderId="0" xfId="0" applyFont="1" applyFill="1"/>
    <xf numFmtId="0" fontId="3" fillId="5" borderId="23" xfId="0" applyNumberFormat="1" applyFont="1" applyFill="1" applyBorder="1" applyAlignment="1">
      <alignment horizontal="center"/>
    </xf>
    <xf numFmtId="0" fontId="10" fillId="0" borderId="0" xfId="1" applyAlignment="1">
      <alignment horizontal="left" vertical="center"/>
    </xf>
    <xf numFmtId="164" fontId="3" fillId="11" borderId="7" xfId="0" applyNumberFormat="1" applyFont="1" applyFill="1" applyBorder="1"/>
    <xf numFmtId="164" fontId="3" fillId="11" borderId="19" xfId="0" applyNumberFormat="1" applyFont="1" applyFill="1" applyBorder="1"/>
    <xf numFmtId="165" fontId="0" fillId="11" borderId="0" xfId="0" applyNumberFormat="1" applyFill="1" applyAlignment="1">
      <alignment horizontal="left" vertical="center"/>
    </xf>
    <xf numFmtId="0" fontId="3" fillId="5" borderId="21" xfId="0" applyFont="1" applyFill="1" applyBorder="1" applyAlignment="1">
      <alignment horizontal="right" vertical="center"/>
    </xf>
    <xf numFmtId="0" fontId="3" fillId="5" borderId="2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BFFD1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800"/>
              <a:t>Testergebnisse in Bezug zur Testanzahl für KW10</a:t>
            </a:r>
            <a:r>
              <a:rPr lang="de-DE" sz="1800" baseline="0"/>
              <a:t> bis KW35</a:t>
            </a:r>
            <a:endParaRPr lang="de-D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'RKI Wochendaten'!$B$8</c:f>
              <c:strCache>
                <c:ptCount val="1"/>
                <c:pt idx="0">
                  <c:v>Anzahl Testungen
(linke y-Achse)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'RKI Wochendaten'!$A$9:$A$34</c:f>
              <c:strCache>
                <c:ptCount val="26"/>
                <c:pt idx="0">
                  <c:v>KW10</c:v>
                </c:pt>
                <c:pt idx="1">
                  <c:v>KW11</c:v>
                </c:pt>
                <c:pt idx="2">
                  <c:v>KW12</c:v>
                </c:pt>
                <c:pt idx="3">
                  <c:v>KW13</c:v>
                </c:pt>
                <c:pt idx="4">
                  <c:v>KW14</c:v>
                </c:pt>
                <c:pt idx="5">
                  <c:v>KW15</c:v>
                </c:pt>
                <c:pt idx="6">
                  <c:v>KW16</c:v>
                </c:pt>
                <c:pt idx="7">
                  <c:v>KW17</c:v>
                </c:pt>
                <c:pt idx="8">
                  <c:v>KW18</c:v>
                </c:pt>
                <c:pt idx="9">
                  <c:v>KW19</c:v>
                </c:pt>
                <c:pt idx="10">
                  <c:v>KW20</c:v>
                </c:pt>
                <c:pt idx="11">
                  <c:v>KW21</c:v>
                </c:pt>
                <c:pt idx="12">
                  <c:v>KW22</c:v>
                </c:pt>
                <c:pt idx="13">
                  <c:v>KW23</c:v>
                </c:pt>
                <c:pt idx="14">
                  <c:v>KW24</c:v>
                </c:pt>
                <c:pt idx="15">
                  <c:v>KW25</c:v>
                </c:pt>
                <c:pt idx="16">
                  <c:v>KW26</c:v>
                </c:pt>
                <c:pt idx="17">
                  <c:v>KW27</c:v>
                </c:pt>
                <c:pt idx="18">
                  <c:v>KW28</c:v>
                </c:pt>
                <c:pt idx="19">
                  <c:v>KW29</c:v>
                </c:pt>
                <c:pt idx="20">
                  <c:v>KW30</c:v>
                </c:pt>
                <c:pt idx="21">
                  <c:v>KW31</c:v>
                </c:pt>
                <c:pt idx="22">
                  <c:v>KW32</c:v>
                </c:pt>
                <c:pt idx="23">
                  <c:v>KW33</c:v>
                </c:pt>
                <c:pt idx="24">
                  <c:v>KW34</c:v>
                </c:pt>
                <c:pt idx="25">
                  <c:v>KW35</c:v>
                </c:pt>
              </c:strCache>
            </c:strRef>
          </c:cat>
          <c:val>
            <c:numRef>
              <c:f>'RKI Wochendaten'!$B$9:$B$34</c:f>
              <c:numCache>
                <c:formatCode>#,##0</c:formatCode>
                <c:ptCount val="26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506490</c:v>
                </c:pt>
                <c:pt idx="18">
                  <c:v>510551</c:v>
                </c:pt>
                <c:pt idx="19">
                  <c:v>538701</c:v>
                </c:pt>
                <c:pt idx="20">
                  <c:v>572967</c:v>
                </c:pt>
                <c:pt idx="21">
                  <c:v>581037</c:v>
                </c:pt>
                <c:pt idx="22">
                  <c:v>733990</c:v>
                </c:pt>
                <c:pt idx="23">
                  <c:v>891988</c:v>
                </c:pt>
                <c:pt idx="24">
                  <c:v>1053521</c:v>
                </c:pt>
                <c:pt idx="25">
                  <c:v>1101299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F-42B2-8EF2-AD50FF9A7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988896"/>
        <c:axId val="1565990144"/>
      </c:barChart>
      <c:lineChart>
        <c:grouping val="standard"/>
        <c:varyColors val="0"/>
        <c:ser>
          <c:idx val="2"/>
          <c:order val="3"/>
          <c:tx>
            <c:strRef>
              <c:f>'RKI Wochendaten'!$L$8</c:f>
              <c:strCache>
                <c:ptCount val="1"/>
                <c:pt idx="0">
                  <c:v>Summe 'wirklich Infizierte'
(linke y-Achse)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'RKI Wochendaten'!$L$9:$L$34</c:f>
              <c:numCache>
                <c:formatCode>#,##0</c:formatCode>
                <c:ptCount val="26"/>
                <c:pt idx="0">
                  <c:v>4356.4040404040361</c:v>
                </c:pt>
                <c:pt idx="1">
                  <c:v>14009.796536796519</c:v>
                </c:pt>
                <c:pt idx="2">
                  <c:v>44860.686868686869</c:v>
                </c:pt>
                <c:pt idx="3">
                  <c:v>86539.467532467563</c:v>
                </c:pt>
                <c:pt idx="4">
                  <c:v>135639.84848484854</c:v>
                </c:pt>
                <c:pt idx="5">
                  <c:v>176230.93217893221</c:v>
                </c:pt>
                <c:pt idx="6">
                  <c:v>204742.74458874459</c:v>
                </c:pt>
                <c:pt idx="7">
                  <c:v>227160.88311688314</c:v>
                </c:pt>
                <c:pt idx="8">
                  <c:v>242053.35642135644</c:v>
                </c:pt>
                <c:pt idx="9">
                  <c:v>253493.29148629151</c:v>
                </c:pt>
                <c:pt idx="10">
                  <c:v>259560.15728715729</c:v>
                </c:pt>
                <c:pt idx="11">
                  <c:v>263519.36507936503</c:v>
                </c:pt>
                <c:pt idx="12">
                  <c:v>265645.07503607497</c:v>
                </c:pt>
                <c:pt idx="13">
                  <c:v>266829.92063492053</c:v>
                </c:pt>
                <c:pt idx="14">
                  <c:v>267588.40259740251</c:v>
                </c:pt>
                <c:pt idx="15">
                  <c:v>271338.31746031734</c:v>
                </c:pt>
                <c:pt idx="16">
                  <c:v>271940.20634920622</c:v>
                </c:pt>
                <c:pt idx="17">
                  <c:v>271303.22222222207</c:v>
                </c:pt>
                <c:pt idx="18">
                  <c:v>270463.60173160158</c:v>
                </c:pt>
                <c:pt idx="19">
                  <c:v>270068.35353535338</c:v>
                </c:pt>
                <c:pt idx="20">
                  <c:v>270823.37662337651</c:v>
                </c:pt>
                <c:pt idx="21">
                  <c:v>273177.9812409812</c:v>
                </c:pt>
                <c:pt idx="22">
                  <c:v>276341.14141414128</c:v>
                </c:pt>
                <c:pt idx="23">
                  <c:v>279828.997113997</c:v>
                </c:pt>
                <c:pt idx="24">
                  <c:v>282034.41269841261</c:v>
                </c:pt>
                <c:pt idx="25">
                  <c:v>282711.0461760459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0-402A-9AF8-CE8F026C1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988896"/>
        <c:axId val="1565990144"/>
      </c:lineChart>
      <c:lineChart>
        <c:grouping val="standard"/>
        <c:varyColors val="0"/>
        <c:ser>
          <c:idx val="1"/>
          <c:order val="1"/>
          <c:tx>
            <c:strRef>
              <c:f>'RKI Wochendaten'!$C$8</c:f>
              <c:strCache>
                <c:ptCount val="1"/>
                <c:pt idx="0">
                  <c:v>Positiv getestet
(rechte y-Achse)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'RKI Wochendaten'!$A$9:$A$34</c:f>
              <c:strCache>
                <c:ptCount val="26"/>
                <c:pt idx="0">
                  <c:v>KW10</c:v>
                </c:pt>
                <c:pt idx="1">
                  <c:v>KW11</c:v>
                </c:pt>
                <c:pt idx="2">
                  <c:v>KW12</c:v>
                </c:pt>
                <c:pt idx="3">
                  <c:v>KW13</c:v>
                </c:pt>
                <c:pt idx="4">
                  <c:v>KW14</c:v>
                </c:pt>
                <c:pt idx="5">
                  <c:v>KW15</c:v>
                </c:pt>
                <c:pt idx="6">
                  <c:v>KW16</c:v>
                </c:pt>
                <c:pt idx="7">
                  <c:v>KW17</c:v>
                </c:pt>
                <c:pt idx="8">
                  <c:v>KW18</c:v>
                </c:pt>
                <c:pt idx="9">
                  <c:v>KW19</c:v>
                </c:pt>
                <c:pt idx="10">
                  <c:v>KW20</c:v>
                </c:pt>
                <c:pt idx="11">
                  <c:v>KW21</c:v>
                </c:pt>
                <c:pt idx="12">
                  <c:v>KW22</c:v>
                </c:pt>
                <c:pt idx="13">
                  <c:v>KW23</c:v>
                </c:pt>
                <c:pt idx="14">
                  <c:v>KW24</c:v>
                </c:pt>
                <c:pt idx="15">
                  <c:v>KW25</c:v>
                </c:pt>
                <c:pt idx="16">
                  <c:v>KW26</c:v>
                </c:pt>
                <c:pt idx="17">
                  <c:v>KW27</c:v>
                </c:pt>
                <c:pt idx="18">
                  <c:v>KW28</c:v>
                </c:pt>
                <c:pt idx="19">
                  <c:v>KW29</c:v>
                </c:pt>
                <c:pt idx="20">
                  <c:v>KW30</c:v>
                </c:pt>
                <c:pt idx="21">
                  <c:v>KW31</c:v>
                </c:pt>
                <c:pt idx="22">
                  <c:v>KW32</c:v>
                </c:pt>
                <c:pt idx="23">
                  <c:v>KW33</c:v>
                </c:pt>
                <c:pt idx="24">
                  <c:v>KW34</c:v>
                </c:pt>
                <c:pt idx="25">
                  <c:v>KW35</c:v>
                </c:pt>
              </c:strCache>
            </c:strRef>
          </c:cat>
          <c:val>
            <c:numRef>
              <c:f>'RKI Wochendaten'!$C$9:$C$34</c:f>
              <c:numCache>
                <c:formatCode>#,##0</c:formatCode>
                <c:ptCount val="26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4534</c:v>
                </c:pt>
                <c:pt idx="21">
                  <c:v>5699</c:v>
                </c:pt>
                <c:pt idx="22">
                  <c:v>7330</c:v>
                </c:pt>
                <c:pt idx="23">
                  <c:v>8661</c:v>
                </c:pt>
                <c:pt idx="24">
                  <c:v>8903</c:v>
                </c:pt>
                <c:pt idx="25">
                  <c:v>8178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F-42B2-8EF2-AD50FF9A7F11}"/>
            </c:ext>
          </c:extLst>
        </c:ser>
        <c:ser>
          <c:idx val="4"/>
          <c:order val="2"/>
          <c:tx>
            <c:strRef>
              <c:f>'RKI Wochendaten'!$I$8</c:f>
              <c:strCache>
                <c:ptCount val="1"/>
                <c:pt idx="0">
                  <c:v>falsch Positive
(rechte y-Achse)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'RKI Wochendaten'!$A$9:$A$34</c:f>
              <c:strCache>
                <c:ptCount val="26"/>
                <c:pt idx="0">
                  <c:v>KW10</c:v>
                </c:pt>
                <c:pt idx="1">
                  <c:v>KW11</c:v>
                </c:pt>
                <c:pt idx="2">
                  <c:v>KW12</c:v>
                </c:pt>
                <c:pt idx="3">
                  <c:v>KW13</c:v>
                </c:pt>
                <c:pt idx="4">
                  <c:v>KW14</c:v>
                </c:pt>
                <c:pt idx="5">
                  <c:v>KW15</c:v>
                </c:pt>
                <c:pt idx="6">
                  <c:v>KW16</c:v>
                </c:pt>
                <c:pt idx="7">
                  <c:v>KW17</c:v>
                </c:pt>
                <c:pt idx="8">
                  <c:v>KW18</c:v>
                </c:pt>
                <c:pt idx="9">
                  <c:v>KW19</c:v>
                </c:pt>
                <c:pt idx="10">
                  <c:v>KW20</c:v>
                </c:pt>
                <c:pt idx="11">
                  <c:v>KW21</c:v>
                </c:pt>
                <c:pt idx="12">
                  <c:v>KW22</c:v>
                </c:pt>
                <c:pt idx="13">
                  <c:v>KW23</c:v>
                </c:pt>
                <c:pt idx="14">
                  <c:v>KW24</c:v>
                </c:pt>
                <c:pt idx="15">
                  <c:v>KW25</c:v>
                </c:pt>
                <c:pt idx="16">
                  <c:v>KW26</c:v>
                </c:pt>
                <c:pt idx="17">
                  <c:v>KW27</c:v>
                </c:pt>
                <c:pt idx="18">
                  <c:v>KW28</c:v>
                </c:pt>
                <c:pt idx="19">
                  <c:v>KW29</c:v>
                </c:pt>
                <c:pt idx="20">
                  <c:v>KW30</c:v>
                </c:pt>
                <c:pt idx="21">
                  <c:v>KW31</c:v>
                </c:pt>
                <c:pt idx="22">
                  <c:v>KW32</c:v>
                </c:pt>
                <c:pt idx="23">
                  <c:v>KW33</c:v>
                </c:pt>
                <c:pt idx="24">
                  <c:v>KW34</c:v>
                </c:pt>
                <c:pt idx="25">
                  <c:v>KW35</c:v>
                </c:pt>
              </c:strCache>
            </c:strRef>
          </c:cat>
          <c:val>
            <c:numRef>
              <c:f>'RKI Wochendaten'!$I$9:$I$34</c:f>
              <c:numCache>
                <c:formatCode>#,##0</c:formatCode>
                <c:ptCount val="26"/>
                <c:pt idx="0">
                  <c:v>842.51717171717235</c:v>
                </c:pt>
                <c:pt idx="1">
                  <c:v>824.62525252525313</c:v>
                </c:pt>
                <c:pt idx="2">
                  <c:v>2224.3767676767693</c:v>
                </c:pt>
                <c:pt idx="3">
                  <c:v>2238.8535353535367</c:v>
                </c:pt>
                <c:pt idx="4">
                  <c:v>2514.7333333333354</c:v>
                </c:pt>
                <c:pt idx="5">
                  <c:v>2377.2414141414156</c:v>
                </c:pt>
                <c:pt idx="6">
                  <c:v>2123.7313131313144</c:v>
                </c:pt>
                <c:pt idx="7">
                  <c:v>2390.3030303030323</c:v>
                </c:pt>
                <c:pt idx="8">
                  <c:v>2183.2686868686883</c:v>
                </c:pt>
                <c:pt idx="9">
                  <c:v>2747.0454545454568</c:v>
                </c:pt>
                <c:pt idx="10">
                  <c:v>2986.193939393941</c:v>
                </c:pt>
                <c:pt idx="11">
                  <c:v>2446.5545454545472</c:v>
                </c:pt>
                <c:pt idx="12">
                  <c:v>2822.0030303030326</c:v>
                </c:pt>
                <c:pt idx="13">
                  <c:v>2378.6080808080828</c:v>
                </c:pt>
                <c:pt idx="14">
                  <c:v>2285.0626262626279</c:v>
                </c:pt>
                <c:pt idx="15">
                  <c:v>2691.0595959595976</c:v>
                </c:pt>
                <c:pt idx="16">
                  <c:v>3267.6777777777802</c:v>
                </c:pt>
                <c:pt idx="17">
                  <c:v>3549.8888888888919</c:v>
                </c:pt>
                <c:pt idx="18">
                  <c:v>3579.7343434343456</c:v>
                </c:pt>
                <c:pt idx="19">
                  <c:v>3773.6737373737401</c:v>
                </c:pt>
                <c:pt idx="20">
                  <c:v>4005.4838383838414</c:v>
                </c:pt>
                <c:pt idx="21">
                  <c:v>4050.7767676767703</c:v>
                </c:pt>
                <c:pt idx="22">
                  <c:v>5115.7878787878817</c:v>
                </c:pt>
                <c:pt idx="23">
                  <c:v>6219.5010101010148</c:v>
                </c:pt>
                <c:pt idx="24">
                  <c:v>7359.2090909090966</c:v>
                </c:pt>
                <c:pt idx="25">
                  <c:v>7704.3565656565715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FF-42B2-8EF2-AD50FF9A7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053872"/>
        <c:axId val="1562045552"/>
      </c:lineChart>
      <c:catAx>
        <c:axId val="156598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5990144"/>
        <c:crosses val="autoZero"/>
        <c:auto val="1"/>
        <c:lblAlgn val="ctr"/>
        <c:lblOffset val="100"/>
        <c:noMultiLvlLbl val="0"/>
      </c:catAx>
      <c:valAx>
        <c:axId val="1565990144"/>
        <c:scaling>
          <c:orientation val="minMax"/>
          <c:max val="1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5988896"/>
        <c:crosses val="autoZero"/>
        <c:crossBetween val="between"/>
      </c:valAx>
      <c:valAx>
        <c:axId val="1562045552"/>
        <c:scaling>
          <c:orientation val="minMax"/>
          <c:max val="50000"/>
          <c:min val="-1000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2053872"/>
        <c:crosses val="max"/>
        <c:crossBetween val="between"/>
        <c:majorUnit val="6000"/>
        <c:minorUnit val="1000"/>
      </c:valAx>
      <c:catAx>
        <c:axId val="156205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204555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39</xdr:row>
      <xdr:rowOff>0</xdr:rowOff>
    </xdr:from>
    <xdr:to>
      <xdr:col>9</xdr:col>
      <xdr:colOff>0</xdr:colOff>
      <xdr:row>69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rki.de/DE/Content/Infekt/EpidBull/Archiv/2020/Ausgaben/36_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C5" sqref="C5"/>
    </sheetView>
  </sheetViews>
  <sheetFormatPr baseColWidth="10" defaultRowHeight="15" x14ac:dyDescent="0.25"/>
  <cols>
    <col min="1" max="1" width="4.28515625" customWidth="1"/>
    <col min="2" max="2" width="38.7109375" customWidth="1"/>
    <col min="3" max="3" width="16.7109375" customWidth="1"/>
    <col min="4" max="4" width="3.85546875" customWidth="1"/>
    <col min="5" max="5" width="13.42578125" customWidth="1"/>
    <col min="6" max="6" width="11.28515625" customWidth="1"/>
    <col min="7" max="9" width="20.7109375" customWidth="1"/>
  </cols>
  <sheetData>
    <row r="1" spans="1:10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24" x14ac:dyDescent="0.35">
      <c r="A3" s="29"/>
      <c r="B3" s="1" t="s">
        <v>49</v>
      </c>
      <c r="C3" s="44" t="s">
        <v>18</v>
      </c>
      <c r="D3" s="2"/>
      <c r="E3" s="2"/>
      <c r="F3" s="2"/>
      <c r="G3" s="57" t="s">
        <v>17</v>
      </c>
      <c r="H3" s="58"/>
      <c r="I3" s="59" t="s">
        <v>0</v>
      </c>
      <c r="J3" s="29"/>
    </row>
    <row r="4" spans="1:10" ht="23.25" customHeight="1" x14ac:dyDescent="0.35">
      <c r="A4" s="29"/>
      <c r="B4" s="3" t="s">
        <v>54</v>
      </c>
      <c r="C4" s="28">
        <v>733990</v>
      </c>
      <c r="D4" s="4"/>
      <c r="E4" s="4"/>
      <c r="F4" s="4"/>
      <c r="G4" s="12" t="s">
        <v>1</v>
      </c>
      <c r="H4" s="13" t="s">
        <v>2</v>
      </c>
      <c r="I4" s="60"/>
      <c r="J4" s="29"/>
    </row>
    <row r="5" spans="1:10" ht="23.25" x14ac:dyDescent="0.35">
      <c r="A5" s="29"/>
      <c r="B5" s="3" t="s">
        <v>53</v>
      </c>
      <c r="C5" s="28">
        <v>7330</v>
      </c>
      <c r="D5" s="4"/>
      <c r="E5" s="61" t="s">
        <v>3</v>
      </c>
      <c r="F5" s="61" t="s">
        <v>4</v>
      </c>
      <c r="G5" s="14" t="s">
        <v>5</v>
      </c>
      <c r="H5" s="14" t="s">
        <v>6</v>
      </c>
      <c r="I5" s="15" t="s">
        <v>7</v>
      </c>
      <c r="J5" s="29"/>
    </row>
    <row r="6" spans="1:10" ht="23.25" x14ac:dyDescent="0.35">
      <c r="A6" s="29"/>
      <c r="B6" s="5" t="s">
        <v>52</v>
      </c>
      <c r="C6" s="6">
        <f>C4-C5</f>
        <v>726660</v>
      </c>
      <c r="D6" s="4"/>
      <c r="E6" s="62"/>
      <c r="F6" s="63"/>
      <c r="G6" s="16">
        <f>G10*C10</f>
        <v>2214.2121212120692</v>
      </c>
      <c r="H6" s="16">
        <f>H10*(1-C11)</f>
        <v>5115.7878787878817</v>
      </c>
      <c r="I6" s="17">
        <f>G6+H6</f>
        <v>7329.9999999999509</v>
      </c>
      <c r="J6" s="29"/>
    </row>
    <row r="7" spans="1:10" ht="23.25" x14ac:dyDescent="0.35">
      <c r="A7" s="29"/>
      <c r="B7" s="5" t="s">
        <v>55</v>
      </c>
      <c r="C7" s="7">
        <f>C5/C4*100</f>
        <v>0.99865120778212224</v>
      </c>
      <c r="D7" s="4"/>
      <c r="E7" s="62"/>
      <c r="F7" s="61" t="s">
        <v>9</v>
      </c>
      <c r="G7" s="18" t="s">
        <v>10</v>
      </c>
      <c r="H7" s="18" t="s">
        <v>11</v>
      </c>
      <c r="I7" s="19" t="s">
        <v>12</v>
      </c>
      <c r="J7" s="29"/>
    </row>
    <row r="8" spans="1:10" ht="23.25" x14ac:dyDescent="0.25">
      <c r="A8" s="29"/>
      <c r="B8" s="43" t="s">
        <v>48</v>
      </c>
      <c r="C8" s="4"/>
      <c r="D8" s="4"/>
      <c r="E8" s="63"/>
      <c r="F8" s="63"/>
      <c r="G8" s="20">
        <f>G10*(1-C10)</f>
        <v>948.94805194802984</v>
      </c>
      <c r="H8" s="20">
        <f>H10*C11</f>
        <v>725711.05194805178</v>
      </c>
      <c r="I8" s="21">
        <f>H8+G8</f>
        <v>726659.99999999977</v>
      </c>
      <c r="J8" s="29"/>
    </row>
    <row r="9" spans="1:10" ht="23.25" x14ac:dyDescent="0.35">
      <c r="A9" s="29"/>
      <c r="B9" s="8" t="s">
        <v>50</v>
      </c>
      <c r="C9" s="9"/>
      <c r="D9" s="4"/>
      <c r="E9" s="4"/>
      <c r="F9" s="4"/>
      <c r="G9" s="22" t="s">
        <v>13</v>
      </c>
      <c r="H9" s="23" t="s">
        <v>14</v>
      </c>
      <c r="I9" s="24" t="s">
        <v>15</v>
      </c>
      <c r="J9" s="29"/>
    </row>
    <row r="10" spans="1:10" ht="23.25" x14ac:dyDescent="0.35">
      <c r="A10" s="29"/>
      <c r="B10" s="5" t="str">
        <f>"Sensitivität ("&amp;TEXT(C10*100,"0,0")&amp;"%):"</f>
        <v>Sensitivität (70,0%):</v>
      </c>
      <c r="C10" s="52">
        <v>0.7</v>
      </c>
      <c r="D10" s="4"/>
      <c r="E10" s="4"/>
      <c r="F10" s="4"/>
      <c r="G10" s="25">
        <f>(C4*C11-C6)/(C10+C11-1)</f>
        <v>3163.160173160099</v>
      </c>
      <c r="H10" s="26">
        <f>(C4*C10-C5)/(C10+C11-1)</f>
        <v>730826.83982683963</v>
      </c>
      <c r="I10" s="27">
        <f>G10+H10</f>
        <v>733989.99999999977</v>
      </c>
      <c r="J10" s="29"/>
    </row>
    <row r="11" spans="1:10" ht="24" thickBot="1" x14ac:dyDescent="0.4">
      <c r="A11" s="29"/>
      <c r="B11" s="10" t="str">
        <f>"Spezifität ("&amp;TEXT(C11*100,"0,0")&amp;"%):"</f>
        <v>Spezifität (99,3%):</v>
      </c>
      <c r="C11" s="53">
        <v>0.99299999999999999</v>
      </c>
      <c r="D11" s="11"/>
      <c r="E11" s="55" t="s">
        <v>56</v>
      </c>
      <c r="F11" s="56"/>
      <c r="G11" s="56"/>
      <c r="H11" s="56"/>
      <c r="I11" s="50" t="str">
        <f>TEXT(G6/C5,"#.###0,00 %")</f>
        <v>30,21 %</v>
      </c>
      <c r="J11" s="29"/>
    </row>
    <row r="12" spans="1:10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23.25" x14ac:dyDescent="0.35">
      <c r="A13" s="29"/>
      <c r="B13" s="41" t="s">
        <v>16</v>
      </c>
      <c r="C13" s="29"/>
      <c r="D13" s="29"/>
      <c r="E13" s="29"/>
      <c r="F13" s="29"/>
      <c r="G13" s="29"/>
      <c r="H13" s="29"/>
      <c r="I13" s="29"/>
      <c r="J13" s="29"/>
    </row>
    <row r="14" spans="1:10" ht="17.25" x14ac:dyDescent="0.3">
      <c r="A14" s="29"/>
      <c r="B14" s="48" t="str">
        <f>TEXT(H6,"#.##")&amp;" der Getesteten wurden als 'positiv' erkannt, obwohl sie nicht infiziert sind! Das sind "&amp;TEXT(100-(I11*100),"#.##0,00")&amp;" % der insgesamt als 'positiv' Getesteten!"</f>
        <v>5.116 der Getesteten wurden als 'positiv' erkannt, obwohl sie nicht infiziert sind! Das sind 69,79 % der insgesamt als 'positiv' Getesteten!</v>
      </c>
      <c r="C14" s="29"/>
      <c r="D14" s="29"/>
      <c r="E14" s="29"/>
      <c r="F14" s="29"/>
      <c r="G14" s="29"/>
      <c r="H14" s="29"/>
      <c r="I14" s="29"/>
      <c r="J14" s="29"/>
    </row>
    <row r="15" spans="1:10" ht="17.25" x14ac:dyDescent="0.3">
      <c r="A15" s="29"/>
      <c r="B15" s="48" t="str">
        <f>"Nur "&amp;TEXT(G10,"#.##")&amp;" von "&amp;TEXT(C5,"#.##")&amp;" als 'positiv' erkannten Personen sind wirklich infiziert!"</f>
        <v>Nur 3.163 von 7.330 als 'positiv' erkannten Personen sind wirklich infiziert!</v>
      </c>
      <c r="C15" s="29"/>
      <c r="D15" s="29"/>
      <c r="E15" s="29"/>
      <c r="F15" s="29"/>
      <c r="G15" s="29"/>
      <c r="H15" s="29"/>
      <c r="I15" s="29"/>
      <c r="J15" s="29"/>
    </row>
    <row r="16" spans="1:10" ht="17.25" x14ac:dyDescent="0.3">
      <c r="A16" s="29"/>
      <c r="B16" s="49" t="str">
        <f>TEXT(G8,"#.##")&amp;" der Getesteten wurden als 'negativ' erkannt, obwohl sie infiziert sind."</f>
        <v>949 der Getesteten wurden als 'negativ' erkannt, obwohl sie infiziert sind.</v>
      </c>
      <c r="C16" s="29"/>
      <c r="D16" s="29"/>
      <c r="E16" s="29"/>
      <c r="F16" s="29"/>
      <c r="G16" s="29"/>
      <c r="H16" s="29"/>
      <c r="I16" s="29"/>
      <c r="J16" s="29"/>
    </row>
    <row r="17" spans="1:10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</row>
    <row r="20" spans="1:10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</row>
    <row r="21" spans="1:10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</row>
    <row r="23" spans="1:10" x14ac:dyDescent="0.25">
      <c r="C23" s="42"/>
    </row>
  </sheetData>
  <mergeCells count="6">
    <mergeCell ref="E11:H11"/>
    <mergeCell ref="G3:H3"/>
    <mergeCell ref="I3:I4"/>
    <mergeCell ref="E5:E8"/>
    <mergeCell ref="F5:F6"/>
    <mergeCell ref="F7:F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6" zoomScale="70" zoomScaleNormal="70" workbookViewId="0">
      <selection activeCell="M57" sqref="M57"/>
    </sheetView>
  </sheetViews>
  <sheetFormatPr baseColWidth="10" defaultRowHeight="15" x14ac:dyDescent="0.25"/>
  <cols>
    <col min="1" max="1" width="20.7109375" style="33" customWidth="1"/>
    <col min="2" max="3" width="20.7109375" style="31" customWidth="1"/>
    <col min="4" max="4" width="20.7109375" style="32" customWidth="1"/>
    <col min="5" max="9" width="20.7109375" style="31" customWidth="1"/>
    <col min="10" max="10" width="20.7109375" style="30" customWidth="1"/>
    <col min="11" max="11" width="16.42578125" customWidth="1"/>
    <col min="12" max="12" width="14.85546875" customWidth="1"/>
    <col min="13" max="13" width="16.28515625" customWidth="1"/>
  </cols>
  <sheetData>
    <row r="1" spans="1:13" s="37" customFormat="1" x14ac:dyDescent="0.25">
      <c r="A1" s="34" t="s">
        <v>64</v>
      </c>
      <c r="B1" s="35"/>
      <c r="C1" s="35"/>
      <c r="D1" s="36"/>
      <c r="E1" s="35"/>
      <c r="F1" s="35"/>
      <c r="G1" s="35"/>
      <c r="H1" s="31"/>
      <c r="I1" s="31"/>
      <c r="J1" s="30"/>
    </row>
    <row r="2" spans="1:13" s="37" customFormat="1" x14ac:dyDescent="0.25">
      <c r="A2" s="51" t="s">
        <v>63</v>
      </c>
      <c r="B2" s="35"/>
      <c r="C2" s="35"/>
      <c r="D2" s="36"/>
      <c r="E2" s="35"/>
      <c r="F2" s="35"/>
      <c r="G2" s="35"/>
      <c r="H2" s="31"/>
      <c r="I2" s="31"/>
      <c r="J2" s="30"/>
    </row>
    <row r="3" spans="1:13" s="37" customFormat="1" x14ac:dyDescent="0.25">
      <c r="A3" s="38"/>
      <c r="B3" s="35"/>
      <c r="C3" s="35"/>
      <c r="D3" s="36"/>
      <c r="E3" s="35"/>
      <c r="F3" s="35"/>
      <c r="G3" s="35"/>
      <c r="H3" s="31"/>
      <c r="I3" s="31"/>
      <c r="J3" s="30"/>
    </row>
    <row r="4" spans="1:13" s="37" customFormat="1" x14ac:dyDescent="0.25">
      <c r="A4" s="39" t="s">
        <v>19</v>
      </c>
      <c r="B4" s="54">
        <v>0.7</v>
      </c>
      <c r="C4" s="35"/>
      <c r="D4" s="36"/>
      <c r="E4" s="35"/>
      <c r="F4" s="35"/>
      <c r="G4" s="35"/>
      <c r="H4" s="31"/>
      <c r="I4" s="31"/>
      <c r="J4" s="30"/>
    </row>
    <row r="5" spans="1:13" s="37" customFormat="1" x14ac:dyDescent="0.25">
      <c r="A5" s="39" t="s">
        <v>20</v>
      </c>
      <c r="B5" s="54">
        <v>0.99299999999999999</v>
      </c>
      <c r="C5" s="35"/>
      <c r="D5" s="36"/>
      <c r="E5" s="35"/>
      <c r="F5" s="35"/>
      <c r="G5" s="35"/>
      <c r="H5" s="31"/>
      <c r="I5" s="31"/>
      <c r="J5" s="30"/>
    </row>
    <row r="6" spans="1:13" s="37" customFormat="1" x14ac:dyDescent="0.25">
      <c r="A6" s="39" t="s">
        <v>24</v>
      </c>
      <c r="B6" s="40">
        <v>83200000</v>
      </c>
      <c r="C6" s="35"/>
      <c r="D6" s="36"/>
      <c r="E6" s="35"/>
      <c r="F6" s="35"/>
      <c r="G6" s="35"/>
      <c r="H6" s="31"/>
      <c r="I6" s="31"/>
      <c r="J6" s="30"/>
    </row>
    <row r="8" spans="1:13" s="33" customFormat="1" ht="98.25" customHeight="1" x14ac:dyDescent="0.25">
      <c r="A8" s="45" t="s">
        <v>66</v>
      </c>
      <c r="B8" s="46" t="s">
        <v>70</v>
      </c>
      <c r="C8" s="46" t="s">
        <v>69</v>
      </c>
      <c r="D8" s="47" t="s">
        <v>8</v>
      </c>
      <c r="E8" s="46" t="s">
        <v>21</v>
      </c>
      <c r="F8" s="46" t="s">
        <v>68</v>
      </c>
      <c r="G8" s="46" t="s">
        <v>22</v>
      </c>
      <c r="H8" s="46" t="s">
        <v>23</v>
      </c>
      <c r="I8" s="46" t="s">
        <v>71</v>
      </c>
      <c r="J8" s="47" t="s">
        <v>51</v>
      </c>
      <c r="K8" s="46" t="s">
        <v>65</v>
      </c>
      <c r="L8" s="46" t="s">
        <v>72</v>
      </c>
      <c r="M8" s="46" t="s">
        <v>67</v>
      </c>
    </row>
    <row r="9" spans="1:13" x14ac:dyDescent="0.25">
      <c r="A9" s="33" t="s">
        <v>25</v>
      </c>
      <c r="B9" s="31">
        <v>124716</v>
      </c>
      <c r="C9" s="31">
        <v>3892</v>
      </c>
      <c r="D9" s="32">
        <f>C9/B9*100</f>
        <v>3.1206902081529231</v>
      </c>
      <c r="E9" s="31">
        <f>B9-C9</f>
        <v>120824</v>
      </c>
      <c r="F9" s="31">
        <f>(B9*$B$5-E9)/($B$4+$B$5-1)</f>
        <v>4356.4040404040361</v>
      </c>
      <c r="G9" s="31">
        <f>(B9*$B$4-C9)/($B$4+$B$5-1)</f>
        <v>120359.59595959594</v>
      </c>
      <c r="H9" s="31">
        <f>F9*$B$4</f>
        <v>3049.4828282828253</v>
      </c>
      <c r="I9" s="31">
        <f>G9*(1-$B$5)</f>
        <v>842.51717171717235</v>
      </c>
      <c r="J9" s="30">
        <f>I9/C9*100</f>
        <v>21.647409345251088</v>
      </c>
      <c r="K9">
        <f>F9/$B$6*100</f>
        <v>5.2360625485625431E-3</v>
      </c>
      <c r="L9" s="31">
        <f>SUM($F$9:F9)</f>
        <v>4356.4040404040361</v>
      </c>
      <c r="M9">
        <f>L9/$B$6*100</f>
        <v>5.2360625485625431E-3</v>
      </c>
    </row>
    <row r="10" spans="1:13" x14ac:dyDescent="0.25">
      <c r="A10" s="33" t="s">
        <v>26</v>
      </c>
      <c r="B10" s="31">
        <v>127457</v>
      </c>
      <c r="C10" s="31">
        <v>7582</v>
      </c>
      <c r="D10" s="32">
        <f t="shared" ref="D10:D34" si="0">C10/B10*100</f>
        <v>5.9486728857575502</v>
      </c>
      <c r="E10" s="31">
        <f t="shared" ref="E10:E34" si="1">B10-C10</f>
        <v>119875</v>
      </c>
      <c r="F10" s="31">
        <f t="shared" ref="F10:F34" si="2">(B10*$B$5-E10)/($B$4+$B$5-1)</f>
        <v>9653.3924963924837</v>
      </c>
      <c r="G10" s="31">
        <f t="shared" ref="G10:G34" si="3">(B10*$B$4-C10)/($B$4+$B$5-1)</f>
        <v>117803.60750360749</v>
      </c>
      <c r="H10" s="31">
        <f t="shared" ref="H10:H34" si="4">F10*$B$4</f>
        <v>6757.3747474747379</v>
      </c>
      <c r="I10" s="31">
        <f t="shared" ref="I10:I34" si="5">G10*(1-$B$5)</f>
        <v>824.62525252525313</v>
      </c>
      <c r="J10" s="30">
        <f t="shared" ref="J10:J34" si="6">I10/C10*100</f>
        <v>10.876091433991732</v>
      </c>
      <c r="K10">
        <f t="shared" ref="K10:K34" si="7">F10/$B$6*100</f>
        <v>1.1602635212010198E-2</v>
      </c>
      <c r="L10" s="31">
        <f>SUM($F$9:F10)</f>
        <v>14009.796536796519</v>
      </c>
      <c r="M10">
        <f t="shared" ref="M10:M34" si="8">L10/$B$6*100</f>
        <v>1.6838697760572736E-2</v>
      </c>
    </row>
    <row r="11" spans="1:13" x14ac:dyDescent="0.25">
      <c r="A11" s="33" t="s">
        <v>27</v>
      </c>
      <c r="B11" s="31">
        <v>348619</v>
      </c>
      <c r="C11" s="31">
        <v>23820</v>
      </c>
      <c r="D11" s="32">
        <f t="shared" si="0"/>
        <v>6.8326740653836993</v>
      </c>
      <c r="E11" s="31">
        <f t="shared" si="1"/>
        <v>324799</v>
      </c>
      <c r="F11" s="31">
        <f t="shared" si="2"/>
        <v>30850.89033189035</v>
      </c>
      <c r="G11" s="31">
        <f t="shared" si="3"/>
        <v>317768.10966810962</v>
      </c>
      <c r="H11" s="31">
        <f t="shared" si="4"/>
        <v>21595.623232323243</v>
      </c>
      <c r="I11" s="31">
        <f t="shared" si="5"/>
        <v>2224.3767676767693</v>
      </c>
      <c r="J11" s="30">
        <f t="shared" si="6"/>
        <v>9.3382735838655311</v>
      </c>
      <c r="K11">
        <f t="shared" si="7"/>
        <v>3.7080397033522054E-2</v>
      </c>
      <c r="L11" s="31">
        <f>SUM($F$9:F11)</f>
        <v>44860.686868686869</v>
      </c>
      <c r="M11">
        <f t="shared" si="8"/>
        <v>5.3919094794094791E-2</v>
      </c>
    </row>
    <row r="12" spans="1:13" x14ac:dyDescent="0.25">
      <c r="A12" s="33" t="s">
        <v>28</v>
      </c>
      <c r="B12" s="31">
        <v>361515</v>
      </c>
      <c r="C12" s="31">
        <v>31414</v>
      </c>
      <c r="D12" s="32">
        <f t="shared" si="0"/>
        <v>8.6895426192550786</v>
      </c>
      <c r="E12" s="31">
        <f t="shared" si="1"/>
        <v>330101</v>
      </c>
      <c r="F12" s="31">
        <f t="shared" si="2"/>
        <v>41678.780663780686</v>
      </c>
      <c r="G12" s="31">
        <f t="shared" si="3"/>
        <v>319836.21933621925</v>
      </c>
      <c r="H12" s="31">
        <f t="shared" si="4"/>
        <v>29175.146464646477</v>
      </c>
      <c r="I12" s="31">
        <f t="shared" si="5"/>
        <v>2238.8535353535367</v>
      </c>
      <c r="J12" s="30">
        <f t="shared" si="6"/>
        <v>7.1269291887487638</v>
      </c>
      <c r="K12">
        <f t="shared" si="7"/>
        <v>5.0094688297813328E-2</v>
      </c>
      <c r="L12" s="31">
        <f>SUM($F$9:F12)</f>
        <v>86539.467532467563</v>
      </c>
      <c r="M12">
        <f t="shared" si="8"/>
        <v>0.10401378309190813</v>
      </c>
    </row>
    <row r="13" spans="1:13" x14ac:dyDescent="0.25">
      <c r="A13" s="33" t="s">
        <v>29</v>
      </c>
      <c r="B13" s="31">
        <v>408348</v>
      </c>
      <c r="C13" s="31">
        <v>36885</v>
      </c>
      <c r="D13" s="32">
        <f t="shared" si="0"/>
        <v>9.032736783331865</v>
      </c>
      <c r="E13" s="31">
        <f t="shared" si="1"/>
        <v>371463</v>
      </c>
      <c r="F13" s="31">
        <f t="shared" si="2"/>
        <v>49100.380952380969</v>
      </c>
      <c r="G13" s="31">
        <f t="shared" si="3"/>
        <v>359247.61904761899</v>
      </c>
      <c r="H13" s="31">
        <f t="shared" si="4"/>
        <v>34370.266666666677</v>
      </c>
      <c r="I13" s="31">
        <f t="shared" si="5"/>
        <v>2514.7333333333354</v>
      </c>
      <c r="J13" s="30">
        <f t="shared" si="6"/>
        <v>6.8177669332610424</v>
      </c>
      <c r="K13">
        <f t="shared" si="7"/>
        <v>5.9014880952380971E-2</v>
      </c>
      <c r="L13" s="31">
        <f>SUM($F$9:F13)</f>
        <v>135639.84848484854</v>
      </c>
      <c r="M13">
        <f t="shared" si="8"/>
        <v>0.16302866404428912</v>
      </c>
    </row>
    <row r="14" spans="1:13" x14ac:dyDescent="0.25">
      <c r="A14" s="33" t="s">
        <v>30</v>
      </c>
      <c r="B14" s="31">
        <v>380197</v>
      </c>
      <c r="C14" s="31">
        <v>30791</v>
      </c>
      <c r="D14" s="32">
        <f t="shared" si="0"/>
        <v>8.0986962022320004</v>
      </c>
      <c r="E14" s="31">
        <f t="shared" si="1"/>
        <v>349406</v>
      </c>
      <c r="F14" s="31">
        <f t="shared" si="2"/>
        <v>40591.083694083667</v>
      </c>
      <c r="G14" s="31">
        <f t="shared" si="3"/>
        <v>339605.91630591621</v>
      </c>
      <c r="H14" s="31">
        <f t="shared" si="4"/>
        <v>28413.758585858566</v>
      </c>
      <c r="I14" s="31">
        <f t="shared" si="5"/>
        <v>2377.2414141414156</v>
      </c>
      <c r="J14" s="30">
        <f t="shared" si="6"/>
        <v>7.7205722910636734</v>
      </c>
      <c r="K14">
        <f t="shared" si="7"/>
        <v>4.878736020923518E-2</v>
      </c>
      <c r="L14" s="31">
        <f>SUM($F$9:F14)</f>
        <v>176230.93217893221</v>
      </c>
      <c r="M14">
        <f t="shared" si="8"/>
        <v>0.21181602425352428</v>
      </c>
    </row>
    <row r="15" spans="1:13" x14ac:dyDescent="0.25">
      <c r="A15" s="33" t="s">
        <v>31</v>
      </c>
      <c r="B15" s="31">
        <v>331902</v>
      </c>
      <c r="C15" s="31">
        <v>22082</v>
      </c>
      <c r="D15" s="32">
        <f t="shared" si="0"/>
        <v>6.6531687064253902</v>
      </c>
      <c r="E15" s="31">
        <f t="shared" si="1"/>
        <v>309820</v>
      </c>
      <c r="F15" s="31">
        <f t="shared" si="2"/>
        <v>28511.812409812388</v>
      </c>
      <c r="G15" s="31">
        <f t="shared" si="3"/>
        <v>303390.18759018753</v>
      </c>
      <c r="H15" s="31">
        <f t="shared" si="4"/>
        <v>19958.268686868669</v>
      </c>
      <c r="I15" s="31">
        <f t="shared" si="5"/>
        <v>2123.7313131313144</v>
      </c>
      <c r="J15" s="30">
        <f t="shared" si="6"/>
        <v>9.6174771901608302</v>
      </c>
      <c r="K15">
        <f t="shared" si="7"/>
        <v>3.4269005300255277E-2</v>
      </c>
      <c r="L15" s="31">
        <f>SUM($F$9:F15)</f>
        <v>204742.74458874459</v>
      </c>
      <c r="M15">
        <f t="shared" si="8"/>
        <v>0.24608502955377956</v>
      </c>
    </row>
    <row r="16" spans="1:13" x14ac:dyDescent="0.25">
      <c r="A16" s="33" t="s">
        <v>32</v>
      </c>
      <c r="B16" s="31">
        <v>363890</v>
      </c>
      <c r="C16" s="31">
        <v>18083</v>
      </c>
      <c r="D16" s="32">
        <f t="shared" si="0"/>
        <v>4.9693588721866497</v>
      </c>
      <c r="E16" s="31">
        <f t="shared" si="1"/>
        <v>345807</v>
      </c>
      <c r="F16" s="31">
        <f t="shared" si="2"/>
        <v>22418.138528138552</v>
      </c>
      <c r="G16" s="31">
        <f t="shared" si="3"/>
        <v>341471.86147186143</v>
      </c>
      <c r="H16" s="31">
        <f t="shared" si="4"/>
        <v>15692.696969696985</v>
      </c>
      <c r="I16" s="31">
        <f t="shared" si="5"/>
        <v>2390.3030303030323</v>
      </c>
      <c r="J16" s="30">
        <f t="shared" si="6"/>
        <v>13.218509264519341</v>
      </c>
      <c r="K16">
        <f t="shared" si="7"/>
        <v>2.6944878038628065E-2</v>
      </c>
      <c r="L16" s="31">
        <f>SUM($F$9:F16)</f>
        <v>227160.88311688314</v>
      </c>
      <c r="M16">
        <f t="shared" si="8"/>
        <v>0.27302990759240764</v>
      </c>
    </row>
    <row r="17" spans="1:13" x14ac:dyDescent="0.25">
      <c r="A17" s="33" t="s">
        <v>33</v>
      </c>
      <c r="B17" s="31">
        <v>326788</v>
      </c>
      <c r="C17" s="31">
        <v>12608</v>
      </c>
      <c r="D17" s="32">
        <f t="shared" si="0"/>
        <v>3.8581588063209176</v>
      </c>
      <c r="E17" s="31">
        <f t="shared" si="1"/>
        <v>314180</v>
      </c>
      <c r="F17" s="31">
        <f t="shared" si="2"/>
        <v>14892.473304473298</v>
      </c>
      <c r="G17" s="31">
        <f t="shared" si="3"/>
        <v>311895.52669552661</v>
      </c>
      <c r="H17" s="31">
        <f t="shared" si="4"/>
        <v>10424.731313131308</v>
      </c>
      <c r="I17" s="31">
        <f t="shared" si="5"/>
        <v>2183.2686868686883</v>
      </c>
      <c r="J17" s="30">
        <f t="shared" si="6"/>
        <v>17.316534635697085</v>
      </c>
      <c r="K17">
        <f t="shared" si="7"/>
        <v>1.789960733710733E-2</v>
      </c>
      <c r="L17" s="31">
        <f>SUM($F$9:F17)</f>
        <v>242053.35642135644</v>
      </c>
      <c r="M17">
        <f t="shared" si="8"/>
        <v>0.29092951492951497</v>
      </c>
    </row>
    <row r="18" spans="1:13" x14ac:dyDescent="0.25">
      <c r="A18" s="33" t="s">
        <v>34</v>
      </c>
      <c r="B18" s="31">
        <v>403875</v>
      </c>
      <c r="C18" s="31">
        <v>10755</v>
      </c>
      <c r="D18" s="32">
        <f t="shared" si="0"/>
        <v>2.6629526462395541</v>
      </c>
      <c r="E18" s="31">
        <f t="shared" si="1"/>
        <v>393120</v>
      </c>
      <c r="F18" s="31">
        <f t="shared" si="2"/>
        <v>11439.935064935064</v>
      </c>
      <c r="G18" s="31">
        <f t="shared" si="3"/>
        <v>392435.06493506487</v>
      </c>
      <c r="H18" s="31">
        <f t="shared" si="4"/>
        <v>8007.9545454545441</v>
      </c>
      <c r="I18" s="31">
        <f t="shared" si="5"/>
        <v>2747.0454545454568</v>
      </c>
      <c r="J18" s="30">
        <f t="shared" si="6"/>
        <v>25.542031190566778</v>
      </c>
      <c r="K18">
        <f t="shared" si="7"/>
        <v>1.374992195304695E-2</v>
      </c>
      <c r="L18" s="31">
        <f>SUM($F$9:F18)</f>
        <v>253493.29148629151</v>
      </c>
      <c r="M18">
        <f t="shared" si="8"/>
        <v>0.30467943688256194</v>
      </c>
    </row>
    <row r="19" spans="1:13" x14ac:dyDescent="0.25">
      <c r="A19" s="33" t="s">
        <v>35</v>
      </c>
      <c r="B19" s="31">
        <v>432666</v>
      </c>
      <c r="C19" s="31">
        <v>7233</v>
      </c>
      <c r="D19" s="32">
        <f t="shared" si="0"/>
        <v>1.6717283077477778</v>
      </c>
      <c r="E19" s="31">
        <f t="shared" si="1"/>
        <v>425433</v>
      </c>
      <c r="F19" s="31">
        <f t="shared" si="2"/>
        <v>6066.865800865784</v>
      </c>
      <c r="G19" s="31">
        <f t="shared" si="3"/>
        <v>426599.13419913407</v>
      </c>
      <c r="H19" s="31">
        <f t="shared" si="4"/>
        <v>4246.806060606049</v>
      </c>
      <c r="I19" s="31">
        <f t="shared" si="5"/>
        <v>2986.193939393941</v>
      </c>
      <c r="J19" s="30">
        <f t="shared" si="6"/>
        <v>41.285689746909185</v>
      </c>
      <c r="K19">
        <f t="shared" si="7"/>
        <v>7.2919060106559908E-3</v>
      </c>
      <c r="L19" s="31">
        <f>SUM($F$9:F19)</f>
        <v>259560.15728715729</v>
      </c>
      <c r="M19">
        <f t="shared" si="8"/>
        <v>0.31197134289321787</v>
      </c>
    </row>
    <row r="20" spans="1:13" x14ac:dyDescent="0.25">
      <c r="A20" s="33" t="s">
        <v>36</v>
      </c>
      <c r="B20" s="31">
        <v>353467</v>
      </c>
      <c r="C20" s="31">
        <v>5218</v>
      </c>
      <c r="D20" s="32">
        <f t="shared" si="0"/>
        <v>1.4762339907261497</v>
      </c>
      <c r="E20" s="31">
        <f t="shared" si="1"/>
        <v>348249</v>
      </c>
      <c r="F20" s="31">
        <f t="shared" si="2"/>
        <v>3959.2077922077497</v>
      </c>
      <c r="G20" s="31">
        <f t="shared" si="3"/>
        <v>349507.79220779217</v>
      </c>
      <c r="H20" s="31">
        <f t="shared" si="4"/>
        <v>2771.4454545454246</v>
      </c>
      <c r="I20" s="31">
        <f t="shared" si="5"/>
        <v>2446.5545454545472</v>
      </c>
      <c r="J20" s="30">
        <f t="shared" si="6"/>
        <v>46.886825324924246</v>
      </c>
      <c r="K20">
        <f t="shared" si="7"/>
        <v>4.7586632117881606E-3</v>
      </c>
      <c r="L20" s="31">
        <f>SUM($F$9:F20)</f>
        <v>263519.36507936503</v>
      </c>
      <c r="M20">
        <f t="shared" si="8"/>
        <v>0.31673000610500607</v>
      </c>
    </row>
    <row r="21" spans="1:13" x14ac:dyDescent="0.25">
      <c r="A21" s="33" t="s">
        <v>37</v>
      </c>
      <c r="B21" s="31">
        <v>405269</v>
      </c>
      <c r="C21" s="31">
        <v>4310</v>
      </c>
      <c r="D21" s="32">
        <f t="shared" si="0"/>
        <v>1.0634911626598629</v>
      </c>
      <c r="E21" s="31">
        <f t="shared" si="1"/>
        <v>400959</v>
      </c>
      <c r="F21" s="31">
        <f t="shared" si="2"/>
        <v>2125.7099567099121</v>
      </c>
      <c r="G21" s="31">
        <f t="shared" si="3"/>
        <v>403143.29004329001</v>
      </c>
      <c r="H21" s="31">
        <f t="shared" si="4"/>
        <v>1487.9969696969383</v>
      </c>
      <c r="I21" s="31">
        <f t="shared" si="5"/>
        <v>2822.0030303030326</v>
      </c>
      <c r="J21" s="30">
        <f t="shared" si="6"/>
        <v>65.475708359699141</v>
      </c>
      <c r="K21">
        <f t="shared" si="7"/>
        <v>2.5549398518147979E-3</v>
      </c>
      <c r="L21" s="31">
        <f>SUM($F$9:F21)</f>
        <v>265645.07503607497</v>
      </c>
      <c r="M21">
        <f t="shared" si="8"/>
        <v>0.31928494595682089</v>
      </c>
    </row>
    <row r="22" spans="1:13" x14ac:dyDescent="0.25">
      <c r="A22" s="33" t="s">
        <v>38</v>
      </c>
      <c r="B22" s="31">
        <v>340986</v>
      </c>
      <c r="C22" s="31">
        <v>3208</v>
      </c>
      <c r="D22" s="32">
        <f t="shared" si="0"/>
        <v>0.94080108860774347</v>
      </c>
      <c r="E22" s="31">
        <f t="shared" si="1"/>
        <v>337778</v>
      </c>
      <c r="F22" s="31">
        <f t="shared" si="2"/>
        <v>1184.845598845596</v>
      </c>
      <c r="G22" s="31">
        <f t="shared" si="3"/>
        <v>339801.15440115437</v>
      </c>
      <c r="H22" s="31">
        <f t="shared" si="4"/>
        <v>829.39191919191717</v>
      </c>
      <c r="I22" s="31">
        <f t="shared" si="5"/>
        <v>2378.6080808080828</v>
      </c>
      <c r="J22" s="30">
        <f t="shared" si="6"/>
        <v>74.14613718229684</v>
      </c>
      <c r="K22">
        <f t="shared" si="7"/>
        <v>1.4240932678432645E-3</v>
      </c>
      <c r="L22" s="31">
        <f>SUM($F$9:F22)</f>
        <v>266829.92063492053</v>
      </c>
      <c r="M22">
        <f t="shared" si="8"/>
        <v>0.32070903922466409</v>
      </c>
    </row>
    <row r="23" spans="1:13" x14ac:dyDescent="0.25">
      <c r="A23" s="33" t="s">
        <v>39</v>
      </c>
      <c r="B23" s="31">
        <v>327196</v>
      </c>
      <c r="C23" s="31">
        <v>2816</v>
      </c>
      <c r="D23" s="32">
        <f t="shared" si="0"/>
        <v>0.86064621816892628</v>
      </c>
      <c r="E23" s="31">
        <f t="shared" si="1"/>
        <v>324380</v>
      </c>
      <c r="F23" s="31">
        <f t="shared" si="2"/>
        <v>758.48196248200009</v>
      </c>
      <c r="G23" s="31">
        <f t="shared" si="3"/>
        <v>326437.51803751796</v>
      </c>
      <c r="H23" s="31">
        <f t="shared" si="4"/>
        <v>530.93737373739998</v>
      </c>
      <c r="I23" s="31">
        <f t="shared" si="5"/>
        <v>2285.0626262626279</v>
      </c>
      <c r="J23" s="30">
        <f t="shared" si="6"/>
        <v>81.145689853076277</v>
      </c>
      <c r="K23">
        <f t="shared" si="7"/>
        <v>9.1163697413701927E-4</v>
      </c>
      <c r="L23" s="31">
        <f>SUM($F$9:F23)</f>
        <v>267588.40259740251</v>
      </c>
      <c r="M23">
        <f t="shared" si="8"/>
        <v>0.32162067619880108</v>
      </c>
    </row>
    <row r="24" spans="1:13" x14ac:dyDescent="0.25">
      <c r="A24" s="33" t="s">
        <v>40</v>
      </c>
      <c r="B24" s="31">
        <v>388187</v>
      </c>
      <c r="C24" s="31">
        <v>5316</v>
      </c>
      <c r="D24" s="32">
        <f t="shared" si="0"/>
        <v>1.3694430776919371</v>
      </c>
      <c r="E24" s="31">
        <f t="shared" si="1"/>
        <v>382871</v>
      </c>
      <c r="F24" s="31">
        <f t="shared" si="2"/>
        <v>3749.9148629148503</v>
      </c>
      <c r="G24" s="31">
        <f t="shared" si="3"/>
        <v>384437.08513708506</v>
      </c>
      <c r="H24" s="31">
        <f t="shared" si="4"/>
        <v>2624.9404040403952</v>
      </c>
      <c r="I24" s="31">
        <f t="shared" si="5"/>
        <v>2691.0595959595976</v>
      </c>
      <c r="J24" s="30">
        <f t="shared" si="6"/>
        <v>50.621888562069181</v>
      </c>
      <c r="K24">
        <f t="shared" si="7"/>
        <v>4.5071092102341951E-3</v>
      </c>
      <c r="L24" s="31">
        <f>SUM($F$9:F24)</f>
        <v>271338.31746031734</v>
      </c>
      <c r="M24">
        <f t="shared" si="8"/>
        <v>0.32612778540903525</v>
      </c>
    </row>
    <row r="25" spans="1:13" x14ac:dyDescent="0.25">
      <c r="A25" s="33" t="s">
        <v>41</v>
      </c>
      <c r="B25" s="31">
        <v>467413</v>
      </c>
      <c r="C25" s="31">
        <v>3689</v>
      </c>
      <c r="D25" s="32">
        <f t="shared" si="0"/>
        <v>0.78923778328801297</v>
      </c>
      <c r="E25" s="31">
        <f t="shared" si="1"/>
        <v>463724</v>
      </c>
      <c r="F25" s="31">
        <f t="shared" si="2"/>
        <v>601.88888888888414</v>
      </c>
      <c r="G25" s="31">
        <f t="shared" si="3"/>
        <v>466811.11111111107</v>
      </c>
      <c r="H25" s="31">
        <f t="shared" si="4"/>
        <v>421.3222222222189</v>
      </c>
      <c r="I25" s="31">
        <f t="shared" si="5"/>
        <v>3267.6777777777802</v>
      </c>
      <c r="J25" s="30">
        <f t="shared" si="6"/>
        <v>88.578958465106538</v>
      </c>
      <c r="K25">
        <f t="shared" si="7"/>
        <v>7.2342414529913965E-4</v>
      </c>
      <c r="L25" s="31">
        <f>SUM($F$9:F25)</f>
        <v>271940.20634920622</v>
      </c>
      <c r="M25">
        <f t="shared" si="8"/>
        <v>0.32685120955433439</v>
      </c>
    </row>
    <row r="26" spans="1:13" x14ac:dyDescent="0.25">
      <c r="A26" s="33" t="s">
        <v>42</v>
      </c>
      <c r="B26" s="31">
        <v>506490</v>
      </c>
      <c r="C26" s="31">
        <v>3104</v>
      </c>
      <c r="D26" s="32">
        <f t="shared" si="0"/>
        <v>0.61284526841596088</v>
      </c>
      <c r="E26" s="31">
        <f t="shared" si="1"/>
        <v>503386</v>
      </c>
      <c r="F26" s="31">
        <f t="shared" si="2"/>
        <v>-636.98412698411687</v>
      </c>
      <c r="G26" s="31">
        <f t="shared" si="3"/>
        <v>507126.98412698408</v>
      </c>
      <c r="H26" s="31">
        <f t="shared" si="4"/>
        <v>-445.88888888888181</v>
      </c>
      <c r="I26" s="31">
        <f t="shared" si="5"/>
        <v>3549.8888888888919</v>
      </c>
      <c r="J26" s="30">
        <f t="shared" si="6"/>
        <v>114.36497709049264</v>
      </c>
      <c r="K26">
        <f t="shared" si="7"/>
        <v>-7.6560592185590968E-4</v>
      </c>
      <c r="L26" s="31">
        <f>SUM($F$9:F26)</f>
        <v>271303.22222222207</v>
      </c>
      <c r="M26">
        <f t="shared" si="8"/>
        <v>0.32608560363247846</v>
      </c>
    </row>
    <row r="27" spans="1:13" x14ac:dyDescent="0.25">
      <c r="A27" s="33" t="s">
        <v>43</v>
      </c>
      <c r="B27" s="31">
        <v>510551</v>
      </c>
      <c r="C27" s="31">
        <v>2992</v>
      </c>
      <c r="D27" s="32">
        <f t="shared" si="0"/>
        <v>0.58603352064730063</v>
      </c>
      <c r="E27" s="31">
        <f t="shared" si="1"/>
        <v>507559</v>
      </c>
      <c r="F27" s="31">
        <f t="shared" si="2"/>
        <v>-839.62049062051676</v>
      </c>
      <c r="G27" s="31">
        <f t="shared" si="3"/>
        <v>511390.62049062038</v>
      </c>
      <c r="H27" s="31">
        <f t="shared" si="4"/>
        <v>-587.73434343436168</v>
      </c>
      <c r="I27" s="31">
        <f t="shared" si="5"/>
        <v>3579.7343434343456</v>
      </c>
      <c r="J27" s="30">
        <f t="shared" si="6"/>
        <v>119.64352752120139</v>
      </c>
      <c r="K27">
        <f t="shared" si="7"/>
        <v>-1.0091592435342749E-3</v>
      </c>
      <c r="L27" s="31">
        <f>SUM($F$9:F27)</f>
        <v>270463.60173160158</v>
      </c>
      <c r="M27">
        <f t="shared" si="8"/>
        <v>0.32507644438894417</v>
      </c>
    </row>
    <row r="28" spans="1:13" x14ac:dyDescent="0.25">
      <c r="A28" s="33" t="s">
        <v>44</v>
      </c>
      <c r="B28" s="31">
        <v>538701</v>
      </c>
      <c r="C28" s="31">
        <v>3497</v>
      </c>
      <c r="D28" s="32">
        <f t="shared" si="0"/>
        <v>0.64915416901026735</v>
      </c>
      <c r="E28" s="31">
        <f t="shared" si="1"/>
        <v>535204</v>
      </c>
      <c r="F28" s="31">
        <f t="shared" si="2"/>
        <v>-395.2481962482056</v>
      </c>
      <c r="G28" s="31">
        <f t="shared" si="3"/>
        <v>539096.24819624808</v>
      </c>
      <c r="H28" s="31">
        <f t="shared" si="4"/>
        <v>-276.6737373737439</v>
      </c>
      <c r="I28" s="31">
        <f t="shared" si="5"/>
        <v>3773.6737373737401</v>
      </c>
      <c r="J28" s="30">
        <f t="shared" si="6"/>
        <v>107.91174542103919</v>
      </c>
      <c r="K28">
        <f t="shared" si="7"/>
        <v>-4.7505792818293939E-4</v>
      </c>
      <c r="L28" s="31">
        <f>SUM($F$9:F28)</f>
        <v>270068.35353535338</v>
      </c>
      <c r="M28">
        <f t="shared" si="8"/>
        <v>0.32460138646076125</v>
      </c>
    </row>
    <row r="29" spans="1:13" x14ac:dyDescent="0.25">
      <c r="A29" s="33" t="s">
        <v>45</v>
      </c>
      <c r="B29" s="31">
        <v>572967</v>
      </c>
      <c r="C29" s="31">
        <v>4534</v>
      </c>
      <c r="D29" s="32">
        <f t="shared" si="0"/>
        <v>0.79131956988796914</v>
      </c>
      <c r="E29" s="31">
        <f t="shared" si="1"/>
        <v>568433</v>
      </c>
      <c r="F29" s="31">
        <f t="shared" si="2"/>
        <v>755.02308802312962</v>
      </c>
      <c r="G29" s="31">
        <f t="shared" si="3"/>
        <v>572211.97691197682</v>
      </c>
      <c r="H29" s="31">
        <f t="shared" si="4"/>
        <v>528.51616161619074</v>
      </c>
      <c r="I29" s="31">
        <f t="shared" si="5"/>
        <v>4005.4838383838414</v>
      </c>
      <c r="J29" s="30">
        <f t="shared" si="6"/>
        <v>88.34326948354304</v>
      </c>
      <c r="K29">
        <f t="shared" si="7"/>
        <v>9.074796731047231E-4</v>
      </c>
      <c r="L29" s="31">
        <f>SUM($F$9:F29)</f>
        <v>270823.37662337651</v>
      </c>
      <c r="M29">
        <f t="shared" si="8"/>
        <v>0.32550886613386598</v>
      </c>
    </row>
    <row r="30" spans="1:13" x14ac:dyDescent="0.25">
      <c r="A30" s="33" t="s">
        <v>46</v>
      </c>
      <c r="B30" s="31">
        <v>581037</v>
      </c>
      <c r="C30" s="31">
        <v>5699</v>
      </c>
      <c r="D30" s="32">
        <f t="shared" si="0"/>
        <v>0.9808325459480205</v>
      </c>
      <c r="E30" s="31">
        <f t="shared" si="1"/>
        <v>575338</v>
      </c>
      <c r="F30" s="31">
        <f t="shared" si="2"/>
        <v>2354.6046176046725</v>
      </c>
      <c r="G30" s="31">
        <f t="shared" si="3"/>
        <v>578682.39538239525</v>
      </c>
      <c r="H30" s="31">
        <f t="shared" si="4"/>
        <v>1648.2232323232706</v>
      </c>
      <c r="I30" s="31">
        <f t="shared" si="5"/>
        <v>4050.7767676767703</v>
      </c>
      <c r="J30" s="30">
        <f t="shared" si="6"/>
        <v>71.0787290345108</v>
      </c>
      <c r="K30">
        <f t="shared" si="7"/>
        <v>2.8300536269286929E-3</v>
      </c>
      <c r="L30" s="31">
        <f>SUM($F$9:F30)</f>
        <v>273177.9812409812</v>
      </c>
      <c r="M30">
        <f t="shared" si="8"/>
        <v>0.32833891976079471</v>
      </c>
    </row>
    <row r="31" spans="1:13" x14ac:dyDescent="0.25">
      <c r="A31" s="33" t="s">
        <v>47</v>
      </c>
      <c r="B31" s="31">
        <v>733990</v>
      </c>
      <c r="C31" s="31">
        <v>7330</v>
      </c>
      <c r="D31" s="32">
        <f t="shared" si="0"/>
        <v>0.99865120778212224</v>
      </c>
      <c r="E31" s="31">
        <f t="shared" si="1"/>
        <v>726660</v>
      </c>
      <c r="F31" s="31">
        <f t="shared" si="2"/>
        <v>3163.160173160099</v>
      </c>
      <c r="G31" s="31">
        <f t="shared" si="3"/>
        <v>730826.83982683963</v>
      </c>
      <c r="H31" s="31">
        <f t="shared" si="4"/>
        <v>2214.2121212120692</v>
      </c>
      <c r="I31" s="31">
        <f t="shared" si="5"/>
        <v>5115.7878787878817</v>
      </c>
      <c r="J31" s="30">
        <f t="shared" si="6"/>
        <v>69.792467650585024</v>
      </c>
      <c r="K31">
        <f t="shared" si="7"/>
        <v>3.8018752081251193E-3</v>
      </c>
      <c r="L31" s="31">
        <f>SUM($F$9:F31)</f>
        <v>276341.14141414128</v>
      </c>
      <c r="M31">
        <f t="shared" si="8"/>
        <v>0.33214079496891979</v>
      </c>
    </row>
    <row r="32" spans="1:13" x14ac:dyDescent="0.25">
      <c r="A32" s="33" t="s">
        <v>57</v>
      </c>
      <c r="B32" s="31">
        <v>891988</v>
      </c>
      <c r="C32" s="31">
        <v>8661</v>
      </c>
      <c r="D32" s="32">
        <f t="shared" si="0"/>
        <v>0.97097718803391986</v>
      </c>
      <c r="E32" s="31">
        <f t="shared" si="1"/>
        <v>883327</v>
      </c>
      <c r="F32" s="31">
        <f t="shared" si="2"/>
        <v>3487.8556998557451</v>
      </c>
      <c r="G32" s="31">
        <f t="shared" si="3"/>
        <v>888500.14430014417</v>
      </c>
      <c r="H32" s="31">
        <f t="shared" si="4"/>
        <v>2441.4989898990216</v>
      </c>
      <c r="I32" s="31">
        <f t="shared" si="5"/>
        <v>6219.5010101010148</v>
      </c>
      <c r="J32" s="30">
        <f t="shared" si="6"/>
        <v>71.810426164426914</v>
      </c>
      <c r="K32">
        <f t="shared" si="7"/>
        <v>4.1921342546343094E-3</v>
      </c>
      <c r="L32" s="31">
        <f>SUM($F$9:F32)</f>
        <v>279828.997113997</v>
      </c>
      <c r="M32">
        <f t="shared" si="8"/>
        <v>0.33633292922355407</v>
      </c>
    </row>
    <row r="33" spans="1:13" x14ac:dyDescent="0.25">
      <c r="A33" s="33" t="s">
        <v>58</v>
      </c>
      <c r="B33" s="31">
        <v>1053521</v>
      </c>
      <c r="C33" s="31">
        <v>8903</v>
      </c>
      <c r="D33" s="32">
        <f t="shared" si="0"/>
        <v>0.84507095729463388</v>
      </c>
      <c r="E33" s="31">
        <f t="shared" si="1"/>
        <v>1044618</v>
      </c>
      <c r="F33" s="31">
        <f t="shared" si="2"/>
        <v>2205.4155844155885</v>
      </c>
      <c r="G33" s="31">
        <f t="shared" si="3"/>
        <v>1051315.5844155843</v>
      </c>
      <c r="H33" s="31">
        <f t="shared" si="4"/>
        <v>1543.7909090909118</v>
      </c>
      <c r="I33" s="31">
        <f t="shared" si="5"/>
        <v>7359.2090909090966</v>
      </c>
      <c r="J33" s="30">
        <f t="shared" si="6"/>
        <v>82.659879713681875</v>
      </c>
      <c r="K33">
        <f t="shared" si="7"/>
        <v>2.6507398851148898E-3</v>
      </c>
      <c r="L33" s="31">
        <f>SUM($F$9:F33)</f>
        <v>282034.41269841261</v>
      </c>
      <c r="M33">
        <f t="shared" si="8"/>
        <v>0.33898366910866901</v>
      </c>
    </row>
    <row r="34" spans="1:13" x14ac:dyDescent="0.25">
      <c r="A34" s="33" t="s">
        <v>59</v>
      </c>
      <c r="B34" s="31">
        <v>1101299</v>
      </c>
      <c r="C34" s="31">
        <v>8178</v>
      </c>
      <c r="D34" s="32">
        <f t="shared" si="0"/>
        <v>0.74257762878201106</v>
      </c>
      <c r="E34" s="31">
        <f t="shared" si="1"/>
        <v>1093121</v>
      </c>
      <c r="F34" s="31">
        <f t="shared" si="2"/>
        <v>676.63347763331899</v>
      </c>
      <c r="G34" s="31">
        <f t="shared" si="3"/>
        <v>1100622.3665223664</v>
      </c>
      <c r="H34" s="31">
        <f t="shared" si="4"/>
        <v>473.64343434332324</v>
      </c>
      <c r="I34" s="31">
        <f t="shared" si="5"/>
        <v>7704.3565656565715</v>
      </c>
      <c r="J34" s="30">
        <f t="shared" si="6"/>
        <v>94.208321908248621</v>
      </c>
      <c r="K34">
        <f t="shared" si="7"/>
        <v>8.132613913862007E-4</v>
      </c>
      <c r="L34" s="31">
        <f>SUM($F$9:F34)</f>
        <v>282711.0461760459</v>
      </c>
      <c r="M34">
        <f t="shared" si="8"/>
        <v>0.33979693050005516</v>
      </c>
    </row>
    <row r="35" spans="1:13" x14ac:dyDescent="0.25">
      <c r="A35" s="33" t="s">
        <v>60</v>
      </c>
    </row>
    <row r="36" spans="1:13" x14ac:dyDescent="0.25">
      <c r="A36" s="33" t="s">
        <v>61</v>
      </c>
    </row>
    <row r="37" spans="1:13" x14ac:dyDescent="0.25">
      <c r="A37" s="33" t="s">
        <v>62</v>
      </c>
    </row>
  </sheetData>
  <hyperlinks>
    <hyperlink ref="A2" r:id="rId1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PCR-Test entzaubert</vt:lpstr>
      <vt:lpstr>RKI Wochendaten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</dc:creator>
  <cp:lastModifiedBy>Armin</cp:lastModifiedBy>
  <cp:lastPrinted>2020-12-20T20:05:08Z</cp:lastPrinted>
  <dcterms:created xsi:type="dcterms:W3CDTF">2020-08-17T12:10:32Z</dcterms:created>
  <dcterms:modified xsi:type="dcterms:W3CDTF">2020-12-20T20:10:39Z</dcterms:modified>
</cp:coreProperties>
</file>